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15"/>
  </bookViews>
  <sheets>
    <sheet name="预算" sheetId="9" r:id="rId1"/>
    <sheet name="封面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<sst xmlns="http://schemas.openxmlformats.org/spreadsheetml/2006/main" count="91" uniqueCount="72">
  <si>
    <t>医技楼静配中心电缆桥架安装零星工程</t>
  </si>
  <si>
    <t>定额组价</t>
  </si>
  <si>
    <t>序号</t>
  </si>
  <si>
    <t>项目名称</t>
  </si>
  <si>
    <t>项目特征描述（做法）</t>
  </si>
  <si>
    <t>计量单位</t>
  </si>
  <si>
    <t>工程量</t>
  </si>
  <si>
    <t>单价</t>
  </si>
  <si>
    <t>合价/元</t>
  </si>
  <si>
    <t>定额编号</t>
  </si>
  <si>
    <t>人工费</t>
  </si>
  <si>
    <t>材料费</t>
  </si>
  <si>
    <t>机械费</t>
  </si>
  <si>
    <t>管理费=（定额人工费+机械费*8%）*22.78</t>
  </si>
  <si>
    <t>利润=（定额人工费+机械费*8%）*13.81%</t>
  </si>
  <si>
    <t>风险费=（人工费+材料费+机械费+管理费+利润）*约定费率3.5%</t>
  </si>
  <si>
    <t>规费=人工费*20%</t>
  </si>
  <si>
    <t>措施费=（定额人工费+机械费*8%）*18.04%</t>
  </si>
  <si>
    <t>税金=9%*（1+12%）</t>
  </si>
  <si>
    <t>合计</t>
  </si>
  <si>
    <t>总合计</t>
  </si>
  <si>
    <t>桥架安装</t>
  </si>
  <si>
    <t>1.名称:防火桥架，规格：200mm*100m*1.5mm
2.工作内容:包含人工运输脚手架及材料，运距290m，层高4.5m，搭设脚手架、划线、定位、打眼、槽体清理、本体固定、配件安装、接地跨接、补漆、桥架修理</t>
  </si>
  <si>
    <t>m</t>
  </si>
  <si>
    <t>1-18-34换</t>
  </si>
  <si>
    <t>脚手架</t>
  </si>
  <si>
    <t>1-16-188+1-16-189*13.5</t>
  </si>
  <si>
    <t>材料运输</t>
  </si>
  <si>
    <t>2-4-782</t>
  </si>
  <si>
    <t>桥架</t>
  </si>
  <si>
    <t>支架安装</t>
  </si>
  <si>
    <t>1.名称:电缆桥架支撑架
2.工作内容:包含搭设脚手架、人工运输脚手架及材料，运距290m,层高：4.5m，平直下料、钻孔、焊接、安装、接地</t>
  </si>
  <si>
    <t>t</t>
  </si>
  <si>
    <t>人工运输材料</t>
  </si>
  <si>
    <t>2-4-599+2-4-600</t>
  </si>
  <si>
    <t>支撑架</t>
  </si>
  <si>
    <t>电缆</t>
  </si>
  <si>
    <t>1.名称:铜芯昆缆线
2.规格型号:YJV  4*70+E*35  
3.工作内容:人工运输脚手架及材料，运距290m，层高4.5m，搭设脚手架，扫管、涂滑石粉、穿线、编号、焊接包头</t>
  </si>
  <si>
    <t>2-4-850</t>
  </si>
  <si>
    <t>1KV以下室内电缆终端头</t>
  </si>
  <si>
    <t>1.名称:1KV以下室内电缆终端头
2.规格:70mm²
3.工作内容:定位、量尺寸、锯断、剥保护层及绝缘层、清洗、包缠绝缘、压接线及接线端子、安装、接线</t>
  </si>
  <si>
    <t>套</t>
  </si>
  <si>
    <t>2-4-934</t>
  </si>
  <si>
    <t>给水管安装</t>
  </si>
  <si>
    <t>1.名称:联塑管PPR  DN20给水管
2.形式:热熔
3.工作内容;人工运输材料，运距290m,搭设脚手架，切管、组对、预热、熔接，管道及管件安装，水压试验及水冲洗等</t>
  </si>
  <si>
    <t>1-18-34</t>
  </si>
  <si>
    <t>2-10-333</t>
  </si>
  <si>
    <t>钻孔</t>
  </si>
  <si>
    <t>1.部位：砼板面，                                    2.孔径：63mm，                                    3.工作内容：基层清理，定位、划线、固定设备、钻孔、检查、整理、清场等，4.钻孔，5.安全文明维护及成品保护</t>
  </si>
  <si>
    <t>个</t>
  </si>
  <si>
    <t>2-10-2244</t>
  </si>
  <si>
    <t>1.部位：砼板面，                                    2.孔径：132mm，                                    3.工作内容：基层清理，定位、划线、固定设备、钻孔、检查、整理、清场等，4.钻孔，5.安全文明维护及成品保护</t>
  </si>
  <si>
    <t>2-10-2246</t>
  </si>
  <si>
    <t>堵补洞</t>
  </si>
  <si>
    <t>1.名称：堵补洞，2.孔径：125mm，3.工作内容：制作模具、清理、调制、填塞砂浆、找平、养护等，4.安全文明维护及成品保护</t>
  </si>
  <si>
    <t>2-10-2279</t>
  </si>
  <si>
    <t>1.名称：堵补洞，2.孔径：65mm，3.工作内容：制作模具、清理、调制、填塞砂浆、找平、养护等，4.安全文明维护及成品保护</t>
  </si>
  <si>
    <t>2-10-2276</t>
  </si>
  <si>
    <t>以上小计</t>
  </si>
  <si>
    <t>元</t>
  </si>
  <si>
    <t xml:space="preserve">云南省滇南中心医院(红河哈尼族彝族自治州第一人民医院)                     </t>
  </si>
  <si>
    <t>建设单位：</t>
  </si>
  <si>
    <t>云南省滇南中心医院（红河哈尼族彝族自治州第一人民医院）</t>
  </si>
  <si>
    <t>投资金额:</t>
  </si>
  <si>
    <t>工程名称：</t>
  </si>
  <si>
    <t>结算金额:</t>
  </si>
  <si>
    <t>施工地点:</t>
  </si>
  <si>
    <t>个旧市锡缘路1号</t>
  </si>
  <si>
    <t>施工单位：</t>
  </si>
  <si>
    <t>(盖章)</t>
  </si>
  <si>
    <t xml:space="preserve">项目负责人: </t>
  </si>
  <si>
    <t>日期: 2025年 8  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</si>
</sst>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2"/>
      <name val="宋体"/>
      <charset val="134"/>
    </font>
    <font>
      <b/>
      <sz val="18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4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55" applyFont="1" applyFill="1" applyAlignment="1"/>
    <xf numFmtId="0" fontId="2" fillId="0" borderId="0" xfId="55" applyFont="1" applyFill="1" applyAlignment="1"/>
    <xf numFmtId="0" fontId="3" fillId="0" borderId="0" xfId="55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0" xfId="55" applyFont="1" applyFill="1" applyAlignment="1">
      <alignment horizontal="right"/>
    </xf>
    <xf numFmtId="0" fontId="4" fillId="0" borderId="0" xfId="55" applyFont="1" applyFill="1" applyAlignment="1"/>
    <xf numFmtId="0" fontId="5" fillId="0" borderId="1" xfId="58" applyFont="1" applyFill="1" applyBorder="1" applyAlignment="1">
      <alignment horizontal="left" wrapText="1"/>
    </xf>
    <xf numFmtId="0" fontId="4" fillId="0" borderId="1" xfId="55" applyFont="1" applyFill="1" applyBorder="1" applyAlignment="1">
      <alignment horizontal="left"/>
    </xf>
    <xf numFmtId="0" fontId="6" fillId="0" borderId="0" xfId="55" applyFont="1" applyFill="1" applyAlignment="1">
      <alignment horizontal="center"/>
    </xf>
    <xf numFmtId="176" fontId="7" fillId="0" borderId="1" xfId="55" applyNumberFormat="1" applyFont="1" applyFill="1" applyBorder="1" applyAlignment="1"/>
    <xf numFmtId="0" fontId="8" fillId="0" borderId="0" xfId="55" applyFont="1" applyFill="1" applyAlignment="1"/>
    <xf numFmtId="177" fontId="7" fillId="0" borderId="0" xfId="55" applyNumberFormat="1" applyFont="1" applyFill="1" applyAlignment="1"/>
    <xf numFmtId="0" fontId="9" fillId="0" borderId="0" xfId="55" applyFont="1" applyFill="1" applyAlignment="1">
      <alignment horizontal="right" vertical="top" wrapText="1"/>
    </xf>
    <xf numFmtId="176" fontId="7" fillId="0" borderId="0" xfId="55" applyNumberFormat="1" applyFont="1" applyFill="1" applyBorder="1" applyAlignment="1"/>
    <xf numFmtId="0" fontId="2" fillId="0" borderId="0" xfId="55" applyFont="1" applyFill="1" applyAlignment="1">
      <alignment horizontal="right"/>
    </xf>
    <xf numFmtId="0" fontId="10" fillId="0" borderId="0" xfId="55" applyFont="1" applyFill="1" applyAlignment="1"/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3" xfId="58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54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1" fillId="0" borderId="4" xfId="58" applyFont="1" applyFill="1" applyBorder="1" applyAlignment="1">
      <alignment horizontal="center" vertical="center" wrapText="1"/>
    </xf>
    <xf numFmtId="0" fontId="12" fillId="0" borderId="4" xfId="54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4" xfId="54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/>
    </xf>
    <xf numFmtId="0" fontId="11" fillId="0" borderId="5" xfId="58" applyFont="1" applyFill="1" applyBorder="1" applyAlignment="1">
      <alignment horizontal="center" vertical="center" wrapText="1"/>
    </xf>
    <xf numFmtId="0" fontId="12" fillId="0" borderId="5" xfId="54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5" xfId="54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54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/>
    </xf>
    <xf numFmtId="176" fontId="12" fillId="0" borderId="3" xfId="58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/>
    </xf>
    <xf numFmtId="176" fontId="12" fillId="0" borderId="5" xfId="58" applyNumberFormat="1" applyFont="1" applyFill="1" applyBorder="1" applyAlignment="1">
      <alignment horizontal="center" vertical="center" wrapText="1"/>
    </xf>
    <xf numFmtId="0" fontId="11" fillId="0" borderId="2" xfId="58" applyFont="1" applyFill="1" applyBorder="1" applyAlignment="1">
      <alignment horizontal="left" vertical="center" wrapText="1"/>
    </xf>
    <xf numFmtId="178" fontId="12" fillId="0" borderId="2" xfId="58" applyNumberFormat="1" applyFont="1" applyFill="1" applyBorder="1" applyAlignment="1">
      <alignment horizontal="center" vertical="center" wrapText="1"/>
    </xf>
    <xf numFmtId="0" fontId="11" fillId="0" borderId="2" xfId="58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9" xfId="58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Normal 2" xfId="52"/>
    <cellStyle name="常规 10" xfId="53"/>
    <cellStyle name="Normal" xfId="54"/>
    <cellStyle name="常规 2" xfId="55"/>
    <cellStyle name="常规 3" xfId="56"/>
    <cellStyle name="常规 4" xfId="57"/>
    <cellStyle name="常规 5" xfId="58"/>
    <cellStyle name="常规 7" xfId="59"/>
    <cellStyle name="常规_创艺装饰公司预算定额" xfId="6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zoomScale="110" zoomScaleNormal="110" workbookViewId="0">
      <selection activeCell="X8" sqref="X8"/>
    </sheetView>
  </sheetViews>
  <sheetFormatPr defaultColWidth="8.89166666666667" defaultRowHeight="13.5"/>
  <cols>
    <col min="1" max="1" width="4.775" customWidth="1"/>
    <col min="2" max="2" width="17.4416666666667" style="20" customWidth="1"/>
    <col min="3" max="3" width="36.4416666666667" customWidth="1"/>
    <col min="4" max="4" width="4.89166666666667" customWidth="1"/>
    <col min="5" max="5" width="8.33333333333333" style="21" customWidth="1"/>
    <col min="6" max="6" width="8.58333333333333" customWidth="1"/>
    <col min="7" max="7" width="14" style="20" customWidth="1"/>
    <col min="8" max="8" width="17.8916666666667" hidden="1" customWidth="1"/>
    <col min="9" max="9" width="9.44166666666667" style="22" hidden="1" customWidth="1"/>
    <col min="10" max="10" width="9.44166666666667" hidden="1" customWidth="1"/>
    <col min="11" max="11" width="8.89166666666667" hidden="1" customWidth="1"/>
    <col min="12" max="12" width="9.66666666666667" hidden="1" customWidth="1"/>
    <col min="13" max="18" width="8.89166666666667" hidden="1" customWidth="1"/>
    <col min="19" max="19" width="11.3333333333333" hidden="1" customWidth="1"/>
    <col min="20" max="20" width="12.8916666666667" hidden="1" customWidth="1"/>
    <col min="21" max="22" width="8.89166666666667" hidden="1" customWidth="1"/>
  </cols>
  <sheetData>
    <row r="1" s="17" customFormat="1" ht="48" customHeight="1" spans="1:19">
      <c r="A1" s="23" t="s">
        <v>0</v>
      </c>
      <c r="B1" s="24"/>
      <c r="C1" s="24"/>
      <c r="D1" s="25"/>
      <c r="E1" s="25"/>
      <c r="F1" s="25"/>
      <c r="G1" s="25"/>
      <c r="H1" s="26"/>
      <c r="I1" s="81" t="s">
        <v>1</v>
      </c>
      <c r="J1" s="82"/>
      <c r="K1" s="82"/>
      <c r="L1" s="82"/>
      <c r="M1" s="82"/>
      <c r="N1" s="82"/>
      <c r="O1" s="82"/>
      <c r="P1" s="82"/>
      <c r="Q1" s="82"/>
      <c r="R1" s="82"/>
      <c r="S1" s="88"/>
    </row>
    <row r="2" s="18" customFormat="1" ht="67.5" spans="1:16384">
      <c r="A2" s="27" t="s">
        <v>2</v>
      </c>
      <c r="B2" s="28" t="s">
        <v>3</v>
      </c>
      <c r="C2" s="28" t="s">
        <v>4</v>
      </c>
      <c r="D2" s="27" t="s">
        <v>5</v>
      </c>
      <c r="E2" s="29" t="s">
        <v>6</v>
      </c>
      <c r="F2" s="30" t="s">
        <v>7</v>
      </c>
      <c r="G2" s="30" t="s">
        <v>8</v>
      </c>
      <c r="H2" s="31" t="s">
        <v>9</v>
      </c>
      <c r="I2" s="18" t="s">
        <v>10</v>
      </c>
      <c r="J2" s="83" t="s">
        <v>11</v>
      </c>
      <c r="K2" s="83" t="s">
        <v>12</v>
      </c>
      <c r="L2" s="84" t="s">
        <v>13</v>
      </c>
      <c r="M2" s="84" t="s">
        <v>14</v>
      </c>
      <c r="N2" s="84" t="s">
        <v>15</v>
      </c>
      <c r="O2" s="84" t="s">
        <v>16</v>
      </c>
      <c r="P2" s="84" t="s">
        <v>17</v>
      </c>
      <c r="Q2" s="84" t="s">
        <v>18</v>
      </c>
      <c r="R2" s="83" t="s">
        <v>19</v>
      </c>
      <c r="S2" s="83" t="s">
        <v>20</v>
      </c>
      <c r="XDY2" s="90"/>
      <c r="XDZ2" s="90"/>
      <c r="XEA2" s="90"/>
      <c r="XEB2" s="90"/>
      <c r="XEC2" s="90"/>
      <c r="XED2" s="90"/>
      <c r="XEE2" s="90"/>
      <c r="XEF2" s="90"/>
      <c r="XEG2" s="90"/>
      <c r="XEH2" s="90"/>
      <c r="XEI2" s="90"/>
      <c r="XEJ2" s="90"/>
      <c r="XEK2" s="90"/>
      <c r="XEL2" s="90"/>
      <c r="XEM2" s="90"/>
      <c r="XEN2" s="90"/>
      <c r="XEO2" s="90"/>
      <c r="XEP2" s="90"/>
      <c r="XEQ2" s="90"/>
      <c r="XER2" s="90"/>
      <c r="XES2" s="90"/>
      <c r="XET2" s="90"/>
      <c r="XEU2" s="90"/>
      <c r="XEV2" s="90"/>
      <c r="XEW2" s="90"/>
      <c r="XEX2" s="90"/>
      <c r="XEY2" s="90"/>
      <c r="XEZ2" s="90"/>
      <c r="XFA2" s="90"/>
      <c r="XFB2" s="90"/>
      <c r="XFC2" s="90"/>
      <c r="XFD2" s="90"/>
    </row>
    <row r="3" s="18" customFormat="1" ht="11.25" spans="1:16384">
      <c r="A3" s="32">
        <v>1</v>
      </c>
      <c r="B3" s="33" t="s">
        <v>21</v>
      </c>
      <c r="C3" s="33" t="s">
        <v>22</v>
      </c>
      <c r="D3" s="34" t="s">
        <v>23</v>
      </c>
      <c r="E3" s="35">
        <f>8.4*4+18*8.4+2+8.4*8+9.6+8.4+4.5*2</f>
        <v>281</v>
      </c>
      <c r="F3" s="36"/>
      <c r="G3" s="36"/>
      <c r="H3" s="37" t="s">
        <v>24</v>
      </c>
      <c r="I3" s="19">
        <f>4.9776*110%</f>
        <v>5.47536</v>
      </c>
      <c r="J3" s="85">
        <f>0.5749</f>
        <v>0.5749</v>
      </c>
      <c r="K3" s="85">
        <v>0.5996</v>
      </c>
      <c r="L3" s="83">
        <f t="shared" ref="L3:L6" si="0">(I3+K3*8%)*22.78%</f>
        <v>1.2582141184</v>
      </c>
      <c r="M3" s="83">
        <f t="shared" ref="M3:M6" si="1">(I3+K3*8%)*13.81%</f>
        <v>0.7627715968</v>
      </c>
      <c r="N3" s="83">
        <f t="shared" ref="N3:N6" si="2">(I3+J3+K3+L3+M3)*3.5%</f>
        <v>0.303479600032</v>
      </c>
      <c r="O3" s="83">
        <f t="shared" ref="O3:O6" si="3">I3*20%</f>
        <v>1.095072</v>
      </c>
      <c r="P3" s="83">
        <f t="shared" ref="P3:P6" si="4">(I3+K3*8%)*18.04%</f>
        <v>0.9964083712</v>
      </c>
      <c r="Q3" s="83">
        <f t="shared" ref="Q3:Q6" si="5">(I3+J3+K3+L3+M3+N3+O3+P3)*9%*(1+12%)</f>
        <v>1.11543321319235</v>
      </c>
      <c r="R3" s="83">
        <f t="shared" ref="R3:R6" si="6">I3+J3+K3+L3+M3+N3+O3+P3+Q3</f>
        <v>12.1812388996243</v>
      </c>
      <c r="S3" s="89">
        <f>R3+R4+R5</f>
        <v>121.879466001643</v>
      </c>
      <c r="T3" s="19" t="s">
        <v>25</v>
      </c>
      <c r="XDY3" s="90"/>
      <c r="XDZ3" s="90"/>
      <c r="XEA3" s="90"/>
      <c r="XEB3" s="90"/>
      <c r="XEC3" s="90"/>
      <c r="XED3" s="90"/>
      <c r="XEE3" s="90"/>
      <c r="XEF3" s="90"/>
      <c r="XEG3" s="90"/>
      <c r="XEH3" s="90"/>
      <c r="XEI3" s="90"/>
      <c r="XEJ3" s="90"/>
      <c r="XEK3" s="90"/>
      <c r="XEL3" s="90"/>
      <c r="XEM3" s="90"/>
      <c r="XEN3" s="90"/>
      <c r="XEO3" s="90"/>
      <c r="XEP3" s="90"/>
      <c r="XEQ3" s="90"/>
      <c r="XER3" s="90"/>
      <c r="XES3" s="90"/>
      <c r="XET3" s="90"/>
      <c r="XEU3" s="90"/>
      <c r="XEV3" s="90"/>
      <c r="XEW3" s="90"/>
      <c r="XEX3" s="90"/>
      <c r="XEY3" s="90"/>
      <c r="XEZ3" s="90"/>
      <c r="XFA3" s="90"/>
      <c r="XFB3" s="90"/>
      <c r="XFC3" s="90"/>
      <c r="XFD3" s="90"/>
    </row>
    <row r="4" s="18" customFormat="1" ht="47" customHeight="1" spans="1:16384">
      <c r="A4" s="38"/>
      <c r="B4" s="39"/>
      <c r="C4" s="39"/>
      <c r="D4" s="40"/>
      <c r="E4" s="41"/>
      <c r="F4" s="42"/>
      <c r="G4" s="42"/>
      <c r="H4" s="37" t="s">
        <v>26</v>
      </c>
      <c r="I4" s="19">
        <f>(48.41+7.08*13.5)*110%*0.032</f>
        <v>5.068448</v>
      </c>
      <c r="J4" s="85">
        <f>(0.09+0.02*13.5)*0.32</f>
        <v>0.1152</v>
      </c>
      <c r="K4" s="85"/>
      <c r="L4" s="83">
        <f t="shared" si="0"/>
        <v>1.1545924544</v>
      </c>
      <c r="M4" s="83">
        <f t="shared" si="1"/>
        <v>0.6999526688</v>
      </c>
      <c r="N4" s="83">
        <f t="shared" si="2"/>
        <v>0.246336759312</v>
      </c>
      <c r="O4" s="83">
        <f t="shared" si="3"/>
        <v>1.0136896</v>
      </c>
      <c r="P4" s="83">
        <f t="shared" si="4"/>
        <v>0.9143480192</v>
      </c>
      <c r="Q4" s="83">
        <f t="shared" si="5"/>
        <v>0.92862680417257</v>
      </c>
      <c r="R4" s="83">
        <f t="shared" si="6"/>
        <v>10.1411943058846</v>
      </c>
      <c r="S4" s="89"/>
      <c r="T4" s="18" t="s">
        <v>27</v>
      </c>
      <c r="XDY4" s="90"/>
      <c r="XDZ4" s="90"/>
      <c r="XEA4" s="90"/>
      <c r="XEB4" s="90"/>
      <c r="XEC4" s="90"/>
      <c r="XED4" s="90"/>
      <c r="XEE4" s="90"/>
      <c r="XEF4" s="90"/>
      <c r="XEG4" s="90"/>
      <c r="XEH4" s="90"/>
      <c r="XEI4" s="90"/>
      <c r="XEJ4" s="90"/>
      <c r="XEK4" s="90"/>
      <c r="XEL4" s="90"/>
      <c r="XEM4" s="90"/>
      <c r="XEN4" s="90"/>
      <c r="XEO4" s="90"/>
      <c r="XEP4" s="90"/>
      <c r="XEQ4" s="90"/>
      <c r="XER4" s="90"/>
      <c r="XES4" s="90"/>
      <c r="XET4" s="90"/>
      <c r="XEU4" s="90"/>
      <c r="XEV4" s="90"/>
      <c r="XEW4" s="90"/>
      <c r="XEX4" s="90"/>
      <c r="XEY4" s="90"/>
      <c r="XEZ4" s="90"/>
      <c r="XFA4" s="90"/>
      <c r="XFB4" s="90"/>
      <c r="XFC4" s="90"/>
      <c r="XFD4" s="90"/>
    </row>
    <row r="5" s="18" customFormat="1" ht="47" customHeight="1" spans="1:16384">
      <c r="A5" s="43"/>
      <c r="B5" s="44"/>
      <c r="C5" s="44"/>
      <c r="D5" s="45"/>
      <c r="E5" s="46"/>
      <c r="F5" s="47"/>
      <c r="G5" s="47"/>
      <c r="H5" s="37" t="s">
        <v>28</v>
      </c>
      <c r="I5" s="19">
        <f>18.873*110%</f>
        <v>20.7603</v>
      </c>
      <c r="J5" s="85">
        <f>1.288+49*1.01</f>
        <v>50.778</v>
      </c>
      <c r="K5" s="85">
        <v>0.592</v>
      </c>
      <c r="L5" s="83">
        <f t="shared" si="0"/>
        <v>4.739984948</v>
      </c>
      <c r="M5" s="83">
        <f t="shared" si="1"/>
        <v>2.873537846</v>
      </c>
      <c r="N5" s="83">
        <f t="shared" si="2"/>
        <v>2.79103379779</v>
      </c>
      <c r="O5" s="83">
        <f t="shared" si="3"/>
        <v>4.15206</v>
      </c>
      <c r="P5" s="83">
        <f t="shared" si="4"/>
        <v>3.753701864</v>
      </c>
      <c r="Q5" s="83">
        <f t="shared" si="5"/>
        <v>9.11641434034363</v>
      </c>
      <c r="R5" s="83">
        <f t="shared" si="6"/>
        <v>99.5570327961337</v>
      </c>
      <c r="S5" s="89"/>
      <c r="T5" s="18" t="s">
        <v>29</v>
      </c>
      <c r="XDY5" s="90"/>
      <c r="XDZ5" s="90"/>
      <c r="XEA5" s="90"/>
      <c r="XEB5" s="90"/>
      <c r="XEC5" s="90"/>
      <c r="XED5" s="90"/>
      <c r="XEE5" s="90"/>
      <c r="XEF5" s="90"/>
      <c r="XEG5" s="90"/>
      <c r="XEH5" s="90"/>
      <c r="XEI5" s="90"/>
      <c r="XEJ5" s="90"/>
      <c r="XEK5" s="90"/>
      <c r="XEL5" s="90"/>
      <c r="XEM5" s="90"/>
      <c r="XEN5" s="90"/>
      <c r="XEO5" s="90"/>
      <c r="XEP5" s="90"/>
      <c r="XEQ5" s="90"/>
      <c r="XER5" s="90"/>
      <c r="XES5" s="90"/>
      <c r="XET5" s="90"/>
      <c r="XEU5" s="90"/>
      <c r="XEV5" s="90"/>
      <c r="XEW5" s="90"/>
      <c r="XEX5" s="90"/>
      <c r="XEY5" s="90"/>
      <c r="XEZ5" s="90"/>
      <c r="XFA5" s="90"/>
      <c r="XFB5" s="90"/>
      <c r="XFC5" s="90"/>
      <c r="XFD5" s="90"/>
    </row>
    <row r="6" s="18" customFormat="1" ht="11.25" spans="1:16384">
      <c r="A6" s="48">
        <v>2</v>
      </c>
      <c r="B6" s="49" t="s">
        <v>30</v>
      </c>
      <c r="C6" s="49" t="s">
        <v>31</v>
      </c>
      <c r="D6" s="50" t="s">
        <v>32</v>
      </c>
      <c r="E6" s="51">
        <f>0.21421*2</f>
        <v>0.42842</v>
      </c>
      <c r="F6" s="52"/>
      <c r="G6" s="52"/>
      <c r="H6" s="37" t="s">
        <v>24</v>
      </c>
      <c r="I6" s="19">
        <f>4.9776*110%</f>
        <v>5.47536</v>
      </c>
      <c r="J6" s="85">
        <f>0.5749</f>
        <v>0.5749</v>
      </c>
      <c r="K6" s="85">
        <v>0.5996</v>
      </c>
      <c r="L6" s="83">
        <f t="shared" si="0"/>
        <v>1.2582141184</v>
      </c>
      <c r="M6" s="83">
        <f t="shared" si="1"/>
        <v>0.7627715968</v>
      </c>
      <c r="N6" s="83">
        <f t="shared" si="2"/>
        <v>0.303479600032</v>
      </c>
      <c r="O6" s="83">
        <f t="shared" si="3"/>
        <v>1.095072</v>
      </c>
      <c r="P6" s="83">
        <f t="shared" si="4"/>
        <v>0.9964083712</v>
      </c>
      <c r="Q6" s="83">
        <f t="shared" si="5"/>
        <v>1.11543321319235</v>
      </c>
      <c r="R6" s="83">
        <f t="shared" si="6"/>
        <v>12.1812388996243</v>
      </c>
      <c r="S6" s="89">
        <f>R6+R7+R8</f>
        <v>29476.6943199013</v>
      </c>
      <c r="T6" s="19" t="s">
        <v>25</v>
      </c>
      <c r="XDY6" s="90"/>
      <c r="XDZ6" s="90"/>
      <c r="XEA6" s="90"/>
      <c r="XEB6" s="90"/>
      <c r="XEC6" s="90"/>
      <c r="XED6" s="90"/>
      <c r="XEE6" s="90"/>
      <c r="XEF6" s="90"/>
      <c r="XEG6" s="90"/>
      <c r="XEH6" s="90"/>
      <c r="XEI6" s="90"/>
      <c r="XEJ6" s="90"/>
      <c r="XEK6" s="90"/>
      <c r="XEL6" s="90"/>
      <c r="XEM6" s="90"/>
      <c r="XEN6" s="90"/>
      <c r="XEO6" s="90"/>
      <c r="XEP6" s="90"/>
      <c r="XEQ6" s="90"/>
      <c r="XER6" s="90"/>
      <c r="XES6" s="90"/>
      <c r="XET6" s="90"/>
      <c r="XEU6" s="90"/>
      <c r="XEV6" s="90"/>
      <c r="XEW6" s="90"/>
      <c r="XEX6" s="90"/>
      <c r="XEY6" s="90"/>
      <c r="XEZ6" s="90"/>
      <c r="XFA6" s="90"/>
      <c r="XFB6" s="90"/>
      <c r="XFC6" s="90"/>
      <c r="XFD6" s="90"/>
    </row>
    <row r="7" s="18" customFormat="1" ht="11.25" spans="1:16384">
      <c r="A7" s="48"/>
      <c r="B7" s="49"/>
      <c r="C7" s="49"/>
      <c r="D7" s="50"/>
      <c r="E7" s="51"/>
      <c r="F7" s="52"/>
      <c r="G7" s="52"/>
      <c r="H7" s="37" t="s">
        <v>26</v>
      </c>
      <c r="I7" s="19">
        <f>(48.41+7.08*13.5)*110%</f>
        <v>158.389</v>
      </c>
      <c r="J7" s="85">
        <f>0.09+0.02*13.5</f>
        <v>0.36</v>
      </c>
      <c r="K7" s="85"/>
      <c r="L7" s="83">
        <f t="shared" ref="L7:L10" si="7">(I7+K7*8%)*22.78%</f>
        <v>36.0810142</v>
      </c>
      <c r="M7" s="83">
        <f t="shared" ref="M7:M10" si="8">(I7+K7*8%)*13.81%</f>
        <v>21.8735209</v>
      </c>
      <c r="N7" s="83">
        <f t="shared" ref="N7:N10" si="9">(I7+J7+K7+L7+M7)*3.5%</f>
        <v>7.5846237285</v>
      </c>
      <c r="O7" s="83">
        <f t="shared" ref="O7:O10" si="10">I7*20%</f>
        <v>31.6778</v>
      </c>
      <c r="P7" s="83">
        <f t="shared" ref="P7:P10" si="11">(I7+K7*8%)*18.04%</f>
        <v>28.5733756</v>
      </c>
      <c r="Q7" s="83">
        <f t="shared" ref="Q7:Q10" si="12">(I7+J7+K7+L7+M7+N7+O7+P7)*9%*(1+12%)</f>
        <v>28.6815649103928</v>
      </c>
      <c r="R7" s="83">
        <f t="shared" ref="R7:R10" si="13">I7+J7+K7+L7+M7+N7+O7+P7+Q7</f>
        <v>313.220899338893</v>
      </c>
      <c r="S7" s="89"/>
      <c r="T7" s="18" t="s">
        <v>33</v>
      </c>
      <c r="XDY7" s="90"/>
      <c r="XDZ7" s="90"/>
      <c r="XEA7" s="90"/>
      <c r="XEB7" s="90"/>
      <c r="XEC7" s="90"/>
      <c r="XED7" s="90"/>
      <c r="XEE7" s="90"/>
      <c r="XEF7" s="90"/>
      <c r="XEG7" s="90"/>
      <c r="XEH7" s="90"/>
      <c r="XEI7" s="90"/>
      <c r="XEJ7" s="90"/>
      <c r="XEK7" s="90"/>
      <c r="XEL7" s="90"/>
      <c r="XEM7" s="90"/>
      <c r="XEN7" s="90"/>
      <c r="XEO7" s="90"/>
      <c r="XEP7" s="90"/>
      <c r="XEQ7" s="90"/>
      <c r="XER7" s="90"/>
      <c r="XES7" s="90"/>
      <c r="XET7" s="90"/>
      <c r="XEU7" s="90"/>
      <c r="XEV7" s="90"/>
      <c r="XEW7" s="90"/>
      <c r="XEX7" s="90"/>
      <c r="XEY7" s="90"/>
      <c r="XEZ7" s="90"/>
      <c r="XFA7" s="90"/>
      <c r="XFB7" s="90"/>
      <c r="XFC7" s="90"/>
      <c r="XFD7" s="90"/>
    </row>
    <row r="8" s="19" customFormat="1" ht="11.25" spans="1:20">
      <c r="A8" s="48"/>
      <c r="B8" s="49"/>
      <c r="C8" s="49"/>
      <c r="D8" s="50"/>
      <c r="E8" s="51"/>
      <c r="F8" s="52"/>
      <c r="G8" s="52"/>
      <c r="H8" s="37" t="s">
        <v>34</v>
      </c>
      <c r="I8" s="19">
        <f>(6725.44+3250.74)*110%</f>
        <v>10973.798</v>
      </c>
      <c r="J8" s="85">
        <f>90.96+(750*4.5+300*4.35+12.6*42.5)+33.82+16.2*42.5</f>
        <v>6028.78</v>
      </c>
      <c r="K8" s="85">
        <f>269.25+243.81</f>
        <v>513.06</v>
      </c>
      <c r="L8" s="83">
        <f t="shared" si="7"/>
        <v>2509.18118984</v>
      </c>
      <c r="M8" s="83">
        <f t="shared" si="8"/>
        <v>1521.14979068</v>
      </c>
      <c r="N8" s="83">
        <f t="shared" si="9"/>
        <v>754.1089143182</v>
      </c>
      <c r="O8" s="83">
        <f t="shared" si="10"/>
        <v>2194.7596</v>
      </c>
      <c r="P8" s="83">
        <f t="shared" si="11"/>
        <v>1987.07764112</v>
      </c>
      <c r="Q8" s="83">
        <f t="shared" si="12"/>
        <v>2669.37704570459</v>
      </c>
      <c r="R8" s="83">
        <f t="shared" si="13"/>
        <v>29151.2921816628</v>
      </c>
      <c r="S8" s="89"/>
      <c r="T8" s="19" t="s">
        <v>35</v>
      </c>
    </row>
    <row r="9" s="18" customFormat="1" ht="22.5" customHeight="1" spans="1:16384">
      <c r="A9" s="53">
        <v>3</v>
      </c>
      <c r="B9" s="54" t="s">
        <v>36</v>
      </c>
      <c r="C9" s="55" t="s">
        <v>37</v>
      </c>
      <c r="D9" s="34" t="s">
        <v>23</v>
      </c>
      <c r="E9" s="56">
        <f>8.4*4+19*8.4+2+8.4*6+9.6+8.4+27+16</f>
        <v>306.6</v>
      </c>
      <c r="F9" s="36"/>
      <c r="G9" s="36"/>
      <c r="H9" s="37" t="s">
        <v>24</v>
      </c>
      <c r="I9" s="19">
        <f>4.9776*110%</f>
        <v>5.47536</v>
      </c>
      <c r="J9" s="85">
        <f>0.5749</f>
        <v>0.5749</v>
      </c>
      <c r="K9" s="85">
        <v>0.5996</v>
      </c>
      <c r="L9" s="83">
        <f t="shared" si="7"/>
        <v>1.2582141184</v>
      </c>
      <c r="M9" s="83">
        <f t="shared" si="8"/>
        <v>0.7627715968</v>
      </c>
      <c r="N9" s="83">
        <f t="shared" si="9"/>
        <v>0.303479600032</v>
      </c>
      <c r="O9" s="83">
        <f t="shared" si="10"/>
        <v>1.095072</v>
      </c>
      <c r="P9" s="83">
        <f t="shared" si="11"/>
        <v>0.9964083712</v>
      </c>
      <c r="Q9" s="83">
        <f t="shared" si="12"/>
        <v>1.11543321319235</v>
      </c>
      <c r="R9" s="83">
        <f t="shared" si="13"/>
        <v>12.1812388996243</v>
      </c>
      <c r="S9" s="89">
        <f>R9+R11</f>
        <v>452.837955803165</v>
      </c>
      <c r="T9" s="18" t="s">
        <v>25</v>
      </c>
      <c r="XDY9" s="90"/>
      <c r="XDZ9" s="90"/>
      <c r="XEA9" s="90"/>
      <c r="XEB9" s="90"/>
      <c r="XEC9" s="90"/>
      <c r="XED9" s="90"/>
      <c r="XEE9" s="90"/>
      <c r="XEF9" s="90"/>
      <c r="XEG9" s="90"/>
      <c r="XEH9" s="90"/>
      <c r="XEI9" s="90"/>
      <c r="XEJ9" s="90"/>
      <c r="XEK9" s="90"/>
      <c r="XEL9" s="90"/>
      <c r="XEM9" s="90"/>
      <c r="XEN9" s="90"/>
      <c r="XEO9" s="90"/>
      <c r="XEP9" s="90"/>
      <c r="XEQ9" s="90"/>
      <c r="XER9" s="90"/>
      <c r="XES9" s="90"/>
      <c r="XET9" s="90"/>
      <c r="XEU9" s="90"/>
      <c r="XEV9" s="90"/>
      <c r="XEW9" s="90"/>
      <c r="XEX9" s="90"/>
      <c r="XEY9" s="90"/>
      <c r="XEZ9" s="90"/>
      <c r="XFA9" s="90"/>
      <c r="XFB9" s="90"/>
      <c r="XFC9" s="90"/>
      <c r="XFD9" s="90"/>
    </row>
    <row r="10" s="18" customFormat="1" ht="22.5" customHeight="1" spans="1:16384">
      <c r="A10" s="57"/>
      <c r="B10" s="58"/>
      <c r="C10" s="59"/>
      <c r="D10" s="40"/>
      <c r="E10" s="60"/>
      <c r="F10" s="42"/>
      <c r="G10" s="42"/>
      <c r="H10" s="37" t="s">
        <v>26</v>
      </c>
      <c r="I10" s="19">
        <f>(48.41+7.08*13.5)*110%*0.0035</f>
        <v>0.5543615</v>
      </c>
      <c r="J10" s="85">
        <f>(0.09+0.02*13.5)*0.0035</f>
        <v>0.00126</v>
      </c>
      <c r="K10" s="85"/>
      <c r="L10" s="83">
        <f t="shared" si="7"/>
        <v>0.1262835497</v>
      </c>
      <c r="M10" s="83">
        <f t="shared" si="8"/>
        <v>0.07655732315</v>
      </c>
      <c r="N10" s="83">
        <f t="shared" si="9"/>
        <v>0.02654618304975</v>
      </c>
      <c r="O10" s="83">
        <f t="shared" si="10"/>
        <v>0.1108723</v>
      </c>
      <c r="P10" s="83">
        <f t="shared" si="11"/>
        <v>0.1000068146</v>
      </c>
      <c r="Q10" s="83">
        <f t="shared" si="12"/>
        <v>0.100385477186375</v>
      </c>
      <c r="R10" s="83">
        <f t="shared" si="13"/>
        <v>1.09627314768612</v>
      </c>
      <c r="S10" s="89"/>
      <c r="T10" s="18" t="s">
        <v>33</v>
      </c>
      <c r="XDY10" s="90"/>
      <c r="XDZ10" s="90"/>
      <c r="XEA10" s="90"/>
      <c r="XEB10" s="90"/>
      <c r="XEC10" s="90"/>
      <c r="XED10" s="90"/>
      <c r="XEE10" s="90"/>
      <c r="XEF10" s="90"/>
      <c r="XEG10" s="90"/>
      <c r="XEH10" s="90"/>
      <c r="XEI10" s="90"/>
      <c r="XEJ10" s="90"/>
      <c r="XEK10" s="90"/>
      <c r="XEL10" s="90"/>
      <c r="XEM10" s="90"/>
      <c r="XEN10" s="90"/>
      <c r="XEO10" s="90"/>
      <c r="XEP10" s="90"/>
      <c r="XEQ10" s="90"/>
      <c r="XER10" s="90"/>
      <c r="XES10" s="90"/>
      <c r="XET10" s="90"/>
      <c r="XEU10" s="90"/>
      <c r="XEV10" s="90"/>
      <c r="XEW10" s="90"/>
      <c r="XEX10" s="90"/>
      <c r="XEY10" s="90"/>
      <c r="XEZ10" s="90"/>
      <c r="XFA10" s="90"/>
      <c r="XFB10" s="90"/>
      <c r="XFC10" s="90"/>
      <c r="XFD10" s="90"/>
    </row>
    <row r="11" s="18" customFormat="1" ht="22.5" customHeight="1" spans="1:16384">
      <c r="A11" s="61"/>
      <c r="B11" s="62"/>
      <c r="C11" s="63"/>
      <c r="D11" s="45"/>
      <c r="E11" s="64"/>
      <c r="F11" s="47"/>
      <c r="G11" s="47"/>
      <c r="H11" s="65" t="s">
        <v>38</v>
      </c>
      <c r="I11" s="86">
        <f>10.661*110%</f>
        <v>11.7271</v>
      </c>
      <c r="J11" s="87">
        <f>2.337+1.01*359.5</f>
        <v>365.432</v>
      </c>
      <c r="K11" s="87">
        <v>0.967</v>
      </c>
      <c r="L11" s="83">
        <f t="shared" ref="L11:L18" si="14">(I11+K11*8%)*22.78%</f>
        <v>2.689055988</v>
      </c>
      <c r="M11" s="83">
        <f t="shared" ref="M11:M18" si="15">(I11+K11*8%)*13.81%</f>
        <v>1.630195926</v>
      </c>
      <c r="N11" s="83">
        <f t="shared" ref="N11:N18" si="16">(I11+J11+K11+L11+M11)*3.5%</f>
        <v>13.38558731699</v>
      </c>
      <c r="O11" s="83">
        <f t="shared" ref="O11:O18" si="17">I11*20%</f>
        <v>2.34542</v>
      </c>
      <c r="P11" s="83">
        <f t="shared" ref="P11:P18" si="18">(I11+K11*8%)*18.04%</f>
        <v>2.129524584</v>
      </c>
      <c r="Q11" s="83">
        <f t="shared" ref="Q11:Q18" si="19">(I11+J11+K11+L11+M11+N11+O11+P11)*9%*(1+12%)</f>
        <v>40.350833088551</v>
      </c>
      <c r="R11" s="83">
        <f t="shared" ref="R11:R18" si="20">I11+J11+K11+L11+M11+N11+O11+P11+Q11</f>
        <v>440.656716903541</v>
      </c>
      <c r="S11" s="89"/>
      <c r="T11" s="18" t="s">
        <v>36</v>
      </c>
      <c r="XDY11" s="90"/>
      <c r="XDZ11" s="90"/>
      <c r="XEA11" s="90"/>
      <c r="XEB11" s="90"/>
      <c r="XEC11" s="90"/>
      <c r="XED11" s="90"/>
      <c r="XEE11" s="90"/>
      <c r="XEF11" s="90"/>
      <c r="XEG11" s="90"/>
      <c r="XEH11" s="90"/>
      <c r="XEI11" s="90"/>
      <c r="XEJ11" s="90"/>
      <c r="XEK11" s="90"/>
      <c r="XEL11" s="90"/>
      <c r="XEM11" s="90"/>
      <c r="XEN11" s="90"/>
      <c r="XEO11" s="90"/>
      <c r="XEP11" s="90"/>
      <c r="XEQ11" s="90"/>
      <c r="XER11" s="90"/>
      <c r="XES11" s="90"/>
      <c r="XET11" s="90"/>
      <c r="XEU11" s="90"/>
      <c r="XEV11" s="90"/>
      <c r="XEW11" s="90"/>
      <c r="XEX11" s="90"/>
      <c r="XEY11" s="90"/>
      <c r="XEZ11" s="90"/>
      <c r="XFA11" s="90"/>
      <c r="XFB11" s="90"/>
      <c r="XFC11" s="90"/>
      <c r="XFD11" s="90"/>
    </row>
    <row r="12" s="18" customFormat="1" ht="45" customHeight="1" spans="1:16384">
      <c r="A12" s="53">
        <v>4</v>
      </c>
      <c r="B12" s="66" t="s">
        <v>39</v>
      </c>
      <c r="C12" s="55" t="s">
        <v>40</v>
      </c>
      <c r="D12" s="34" t="s">
        <v>41</v>
      </c>
      <c r="E12" s="56">
        <v>10</v>
      </c>
      <c r="F12" s="36"/>
      <c r="G12" s="36"/>
      <c r="H12" s="67" t="s">
        <v>42</v>
      </c>
      <c r="I12" s="86">
        <f>99.41*110%</f>
        <v>109.351</v>
      </c>
      <c r="J12" s="87">
        <f>75.3+1.05*350</f>
        <v>442.8</v>
      </c>
      <c r="K12" s="87"/>
      <c r="L12" s="83">
        <f t="shared" si="14"/>
        <v>24.9101578</v>
      </c>
      <c r="M12" s="83">
        <f t="shared" si="15"/>
        <v>15.1013731</v>
      </c>
      <c r="N12" s="83">
        <f t="shared" si="16"/>
        <v>20.7256885815</v>
      </c>
      <c r="O12" s="83">
        <f t="shared" si="17"/>
        <v>21.8702</v>
      </c>
      <c r="P12" s="83">
        <f t="shared" si="18"/>
        <v>19.7269204</v>
      </c>
      <c r="Q12" s="83">
        <f t="shared" si="19"/>
        <v>65.9721222600552</v>
      </c>
      <c r="R12" s="83">
        <f t="shared" si="20"/>
        <v>720.457462141555</v>
      </c>
      <c r="S12" s="89">
        <f>R12</f>
        <v>720.457462141555</v>
      </c>
      <c r="XDY12" s="90"/>
      <c r="XDZ12" s="90"/>
      <c r="XEA12" s="90"/>
      <c r="XEB12" s="90"/>
      <c r="XEC12" s="90"/>
      <c r="XED12" s="90"/>
      <c r="XEE12" s="90"/>
      <c r="XEF12" s="90"/>
      <c r="XEG12" s="90"/>
      <c r="XEH12" s="90"/>
      <c r="XEI12" s="90"/>
      <c r="XEJ12" s="90"/>
      <c r="XEK12" s="90"/>
      <c r="XEL12" s="90"/>
      <c r="XEM12" s="90"/>
      <c r="XEN12" s="90"/>
      <c r="XEO12" s="90"/>
      <c r="XEP12" s="90"/>
      <c r="XEQ12" s="90"/>
      <c r="XER12" s="90"/>
      <c r="XES12" s="90"/>
      <c r="XET12" s="90"/>
      <c r="XEU12" s="90"/>
      <c r="XEV12" s="90"/>
      <c r="XEW12" s="90"/>
      <c r="XEX12" s="90"/>
      <c r="XEY12" s="90"/>
      <c r="XEZ12" s="90"/>
      <c r="XFA12" s="90"/>
      <c r="XFB12" s="90"/>
      <c r="XFC12" s="90"/>
      <c r="XFD12" s="90"/>
    </row>
    <row r="13" s="18" customFormat="1" ht="35" customHeight="1" spans="1:20">
      <c r="A13" s="32">
        <v>5</v>
      </c>
      <c r="B13" s="68" t="s">
        <v>43</v>
      </c>
      <c r="C13" s="55" t="s">
        <v>44</v>
      </c>
      <c r="D13" s="32" t="s">
        <v>23</v>
      </c>
      <c r="E13" s="69">
        <v>32.5</v>
      </c>
      <c r="F13" s="36"/>
      <c r="G13" s="36"/>
      <c r="H13" s="37" t="s">
        <v>45</v>
      </c>
      <c r="I13" s="19">
        <f>4.9876*110%</f>
        <v>5.48636</v>
      </c>
      <c r="J13" s="85">
        <v>0.5749</v>
      </c>
      <c r="K13" s="85">
        <v>0.5996</v>
      </c>
      <c r="L13" s="83">
        <f t="shared" si="14"/>
        <v>1.2607199184</v>
      </c>
      <c r="M13" s="83">
        <f t="shared" si="15"/>
        <v>0.7642906968</v>
      </c>
      <c r="N13" s="83">
        <f t="shared" si="16"/>
        <v>0.304005471532</v>
      </c>
      <c r="O13" s="83">
        <f t="shared" si="17"/>
        <v>1.097272</v>
      </c>
      <c r="P13" s="83">
        <f t="shared" si="18"/>
        <v>0.9983927712</v>
      </c>
      <c r="Q13" s="83">
        <f t="shared" si="19"/>
        <v>1.11742251847955</v>
      </c>
      <c r="R13" s="83">
        <f t="shared" si="20"/>
        <v>12.2029633764115</v>
      </c>
      <c r="S13" s="90">
        <f>R13+R14</f>
        <v>72.8222851551763</v>
      </c>
      <c r="T13" s="18" t="s">
        <v>25</v>
      </c>
    </row>
    <row r="14" s="18" customFormat="1" ht="35" customHeight="1" spans="1:19">
      <c r="A14" s="43"/>
      <c r="B14" s="70"/>
      <c r="C14" s="63"/>
      <c r="D14" s="43"/>
      <c r="E14" s="71"/>
      <c r="F14" s="47"/>
      <c r="G14" s="47"/>
      <c r="H14" s="67" t="s">
        <v>46</v>
      </c>
      <c r="I14" s="86">
        <f>16.248*110%</f>
        <v>17.8728</v>
      </c>
      <c r="J14" s="87">
        <f>0.165+1.016*11.2+1.52*3.5*2+0.0002*125</f>
        <v>22.2092</v>
      </c>
      <c r="K14" s="87">
        <v>0.015</v>
      </c>
      <c r="L14" s="83">
        <f t="shared" si="14"/>
        <v>4.0716972</v>
      </c>
      <c r="M14" s="83">
        <f t="shared" si="15"/>
        <v>2.4683994</v>
      </c>
      <c r="N14" s="83">
        <f t="shared" si="16"/>
        <v>1.632298381</v>
      </c>
      <c r="O14" s="83">
        <f t="shared" si="17"/>
        <v>3.57456</v>
      </c>
      <c r="P14" s="83">
        <f t="shared" si="18"/>
        <v>3.2244696</v>
      </c>
      <c r="Q14" s="83">
        <f t="shared" si="19"/>
        <v>5.5508971977648</v>
      </c>
      <c r="R14" s="83">
        <f t="shared" si="20"/>
        <v>60.6193217787648</v>
      </c>
      <c r="S14" s="90"/>
    </row>
    <row r="15" s="18" customFormat="1" ht="55" customHeight="1" spans="1:19">
      <c r="A15" s="48">
        <v>6</v>
      </c>
      <c r="B15" s="72" t="s">
        <v>47</v>
      </c>
      <c r="C15" s="72" t="s">
        <v>48</v>
      </c>
      <c r="D15" s="48" t="s">
        <v>49</v>
      </c>
      <c r="E15" s="73">
        <v>4</v>
      </c>
      <c r="F15" s="52"/>
      <c r="G15" s="52"/>
      <c r="H15" s="67" t="s">
        <v>50</v>
      </c>
      <c r="I15" s="86">
        <f>30.831*110%</f>
        <v>33.9141</v>
      </c>
      <c r="J15" s="87">
        <v>2.765</v>
      </c>
      <c r="K15" s="87"/>
      <c r="L15" s="83">
        <f t="shared" si="14"/>
        <v>7.72563198</v>
      </c>
      <c r="M15" s="83">
        <f t="shared" si="15"/>
        <v>4.68353721</v>
      </c>
      <c r="N15" s="83">
        <f t="shared" si="16"/>
        <v>1.71808942165</v>
      </c>
      <c r="O15" s="83">
        <f t="shared" si="17"/>
        <v>6.78282</v>
      </c>
      <c r="P15" s="83">
        <f t="shared" si="18"/>
        <v>6.11810364</v>
      </c>
      <c r="Q15" s="83">
        <f t="shared" si="19"/>
        <v>6.42169405096632</v>
      </c>
      <c r="R15" s="83">
        <f t="shared" si="20"/>
        <v>70.1289763026163</v>
      </c>
      <c r="S15" s="89">
        <f>R15</f>
        <v>70.1289763026163</v>
      </c>
    </row>
    <row r="16" s="18" customFormat="1" ht="55" customHeight="1" spans="1:19">
      <c r="A16" s="48">
        <v>7</v>
      </c>
      <c r="B16" s="72" t="s">
        <v>47</v>
      </c>
      <c r="C16" s="72" t="s">
        <v>51</v>
      </c>
      <c r="D16" s="48" t="s">
        <v>49</v>
      </c>
      <c r="E16" s="73">
        <v>6</v>
      </c>
      <c r="F16" s="52"/>
      <c r="G16" s="52"/>
      <c r="H16" s="67" t="s">
        <v>52</v>
      </c>
      <c r="I16" s="86">
        <f>46.391*110%</f>
        <v>51.0301</v>
      </c>
      <c r="J16" s="87">
        <v>36.65</v>
      </c>
      <c r="K16" s="87"/>
      <c r="L16" s="83">
        <f t="shared" si="14"/>
        <v>11.62465678</v>
      </c>
      <c r="M16" s="83">
        <f t="shared" si="15"/>
        <v>7.04725681</v>
      </c>
      <c r="N16" s="83">
        <f t="shared" si="16"/>
        <v>3.72232047565</v>
      </c>
      <c r="O16" s="83">
        <f t="shared" si="17"/>
        <v>10.20602</v>
      </c>
      <c r="P16" s="83">
        <f t="shared" si="18"/>
        <v>9.20583004</v>
      </c>
      <c r="Q16" s="83">
        <f t="shared" si="19"/>
        <v>13.0522073578495</v>
      </c>
      <c r="R16" s="83">
        <f t="shared" si="20"/>
        <v>142.538391463499</v>
      </c>
      <c r="S16" s="89">
        <f>R16</f>
        <v>142.538391463499</v>
      </c>
    </row>
    <row r="17" s="18" customFormat="1" ht="35" customHeight="1" spans="1:19">
      <c r="A17" s="48">
        <v>8</v>
      </c>
      <c r="B17" s="72" t="s">
        <v>53</v>
      </c>
      <c r="C17" s="74" t="s">
        <v>54</v>
      </c>
      <c r="D17" s="48" t="s">
        <v>49</v>
      </c>
      <c r="E17" s="73">
        <v>6</v>
      </c>
      <c r="F17" s="52"/>
      <c r="G17" s="52"/>
      <c r="H17" s="67" t="s">
        <v>55</v>
      </c>
      <c r="I17" s="86">
        <f>6.019*110%</f>
        <v>6.6209</v>
      </c>
      <c r="J17" s="87">
        <v>12.9337</v>
      </c>
      <c r="K17" s="87"/>
      <c r="L17" s="83">
        <f t="shared" si="14"/>
        <v>1.50824102</v>
      </c>
      <c r="M17" s="83">
        <f t="shared" si="15"/>
        <v>0.91434629</v>
      </c>
      <c r="N17" s="83">
        <f t="shared" si="16"/>
        <v>0.76920155585</v>
      </c>
      <c r="O17" s="83">
        <f t="shared" si="17"/>
        <v>1.32418</v>
      </c>
      <c r="P17" s="83">
        <f t="shared" si="18"/>
        <v>1.19441036</v>
      </c>
      <c r="Q17" s="83">
        <f t="shared" si="19"/>
        <v>2.54670990596568</v>
      </c>
      <c r="R17" s="83">
        <f t="shared" si="20"/>
        <v>27.8116891318157</v>
      </c>
      <c r="S17" s="89">
        <f>R17</f>
        <v>27.8116891318157</v>
      </c>
    </row>
    <row r="18" s="18" customFormat="1" ht="35" customHeight="1" spans="1:19">
      <c r="A18" s="48">
        <v>9</v>
      </c>
      <c r="B18" s="72" t="s">
        <v>53</v>
      </c>
      <c r="C18" s="74" t="s">
        <v>56</v>
      </c>
      <c r="D18" s="48" t="s">
        <v>49</v>
      </c>
      <c r="E18" s="73">
        <v>4</v>
      </c>
      <c r="F18" s="52"/>
      <c r="G18" s="52"/>
      <c r="H18" s="67" t="s">
        <v>57</v>
      </c>
      <c r="I18" s="86">
        <f>4.338*110%</f>
        <v>4.7718</v>
      </c>
      <c r="J18" s="87">
        <v>9.197</v>
      </c>
      <c r="K18" s="87"/>
      <c r="L18" s="83">
        <f t="shared" si="14"/>
        <v>1.08701604</v>
      </c>
      <c r="M18" s="83">
        <f t="shared" si="15"/>
        <v>0.65898558</v>
      </c>
      <c r="N18" s="83">
        <f t="shared" si="16"/>
        <v>0.5500180567</v>
      </c>
      <c r="O18" s="83">
        <f t="shared" si="17"/>
        <v>0.95436</v>
      </c>
      <c r="P18" s="83">
        <f t="shared" si="18"/>
        <v>0.86083272</v>
      </c>
      <c r="Q18" s="83">
        <f t="shared" si="19"/>
        <v>1.82246524958736</v>
      </c>
      <c r="R18" s="83">
        <f t="shared" si="20"/>
        <v>19.9024776462874</v>
      </c>
      <c r="S18" s="89">
        <f>R18</f>
        <v>19.9024776462874</v>
      </c>
    </row>
    <row r="19" s="18" customFormat="1" ht="30" customHeight="1" spans="1:16384">
      <c r="A19" s="75">
        <v>10</v>
      </c>
      <c r="B19" s="76" t="s">
        <v>58</v>
      </c>
      <c r="C19" s="77"/>
      <c r="D19" s="78" t="s">
        <v>59</v>
      </c>
      <c r="E19" s="79"/>
      <c r="F19" s="79"/>
      <c r="G19" s="80">
        <f>SUM(G3:G18)</f>
        <v>0</v>
      </c>
      <c r="H19" s="31"/>
      <c r="J19" s="83"/>
      <c r="K19" s="83"/>
      <c r="L19" s="83"/>
      <c r="M19" s="83"/>
      <c r="N19" s="83"/>
      <c r="O19" s="83"/>
      <c r="P19" s="83"/>
      <c r="Q19" s="83"/>
      <c r="R19" s="83"/>
      <c r="S19" s="83"/>
      <c r="XDY19" s="90"/>
      <c r="XDZ19" s="90"/>
      <c r="XEA19" s="90"/>
      <c r="XEB19" s="90"/>
      <c r="XEC19" s="90"/>
      <c r="XED19" s="90"/>
      <c r="XEE19" s="90"/>
      <c r="XEF19" s="90"/>
      <c r="XEG19" s="90"/>
      <c r="XEH19" s="90"/>
      <c r="XEI19" s="90"/>
      <c r="XEJ19" s="90"/>
      <c r="XEK19" s="90"/>
      <c r="XEL19" s="90"/>
      <c r="XEM19" s="90"/>
      <c r="XEN19" s="90"/>
      <c r="XEO19" s="90"/>
      <c r="XEP19" s="90"/>
      <c r="XEQ19" s="90"/>
      <c r="XER19" s="90"/>
      <c r="XES19" s="90"/>
      <c r="XET19" s="90"/>
      <c r="XEU19" s="90"/>
      <c r="XEV19" s="90"/>
      <c r="XEW19" s="90"/>
      <c r="XEX19" s="90"/>
      <c r="XEY19" s="90"/>
      <c r="XEZ19" s="90"/>
      <c r="XFA19" s="90"/>
      <c r="XFB19" s="90"/>
      <c r="XFC19" s="90"/>
      <c r="XFD19" s="90"/>
    </row>
  </sheetData>
  <mergeCells count="33">
    <mergeCell ref="A1:G1"/>
    <mergeCell ref="A3:A5"/>
    <mergeCell ref="A6:A8"/>
    <mergeCell ref="A9:A11"/>
    <mergeCell ref="A13:A14"/>
    <mergeCell ref="B3:B5"/>
    <mergeCell ref="B6:B8"/>
    <mergeCell ref="B9:B11"/>
    <mergeCell ref="B13:B14"/>
    <mergeCell ref="C3:C5"/>
    <mergeCell ref="C6:C8"/>
    <mergeCell ref="C9:C11"/>
    <mergeCell ref="C13:C14"/>
    <mergeCell ref="D3:D5"/>
    <mergeCell ref="D6:D8"/>
    <mergeCell ref="D9:D11"/>
    <mergeCell ref="D13:D14"/>
    <mergeCell ref="E3:E5"/>
    <mergeCell ref="E6:E8"/>
    <mergeCell ref="E9:E11"/>
    <mergeCell ref="E13:E14"/>
    <mergeCell ref="F3:F5"/>
    <mergeCell ref="F6:F8"/>
    <mergeCell ref="F9:F11"/>
    <mergeCell ref="F13:F14"/>
    <mergeCell ref="G3:G5"/>
    <mergeCell ref="G6:G8"/>
    <mergeCell ref="G9:G11"/>
    <mergeCell ref="G13:G14"/>
    <mergeCell ref="S3:S5"/>
    <mergeCell ref="S6:S8"/>
    <mergeCell ref="S9:S11"/>
    <mergeCell ref="S13:S14"/>
  </mergeCells>
  <pageMargins left="0.161111111111111" right="0.161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10" workbookViewId="0">
      <selection activeCell="G20" sqref="G20"/>
    </sheetView>
  </sheetViews>
  <sheetFormatPr defaultColWidth="8.89166666666667" defaultRowHeight="13.5"/>
  <cols>
    <col min="2" max="2" width="18" customWidth="1"/>
    <col min="6" max="6" width="23.225" customWidth="1"/>
    <col min="8" max="8" width="0.108333333333333" customWidth="1"/>
    <col min="11" max="11" width="14.8916666666667" customWidth="1"/>
  </cols>
  <sheetData>
    <row r="1" ht="72" customHeight="1" spans="1:12">
      <c r="A1" s="2"/>
      <c r="B1" s="3" t="s">
        <v>60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idden="1"/>
    <row r="4" ht="48" customHeight="1" spans="1:12">
      <c r="A4" s="2"/>
      <c r="B4" s="1" t="s">
        <v>61</v>
      </c>
      <c r="C4" s="4" t="s">
        <v>62</v>
      </c>
      <c r="D4" s="4"/>
      <c r="E4" s="4"/>
      <c r="F4" s="4"/>
      <c r="H4" s="5" t="s">
        <v>63</v>
      </c>
      <c r="I4" s="5"/>
      <c r="J4" s="5"/>
      <c r="K4" s="10"/>
      <c r="L4" s="11" t="s">
        <v>59</v>
      </c>
    </row>
    <row r="5" ht="22.5" spans="1:11">
      <c r="A5" s="2"/>
      <c r="B5" s="1"/>
      <c r="C5" s="6"/>
      <c r="H5" s="1"/>
      <c r="I5" s="1"/>
      <c r="J5" s="1"/>
      <c r="K5" s="12"/>
    </row>
    <row r="6" ht="48" customHeight="1" spans="1:12">
      <c r="A6" s="2"/>
      <c r="B6" s="1" t="s">
        <v>64</v>
      </c>
      <c r="C6" s="7" t="s">
        <v>0</v>
      </c>
      <c r="D6" s="7"/>
      <c r="E6" s="7"/>
      <c r="F6" s="7"/>
      <c r="H6" s="5" t="s">
        <v>65</v>
      </c>
      <c r="I6" s="5"/>
      <c r="J6" s="5"/>
      <c r="K6" s="10">
        <f>预算!G19</f>
        <v>0</v>
      </c>
      <c r="L6" s="11" t="s">
        <v>59</v>
      </c>
    </row>
    <row r="7" ht="22.5" spans="1:12">
      <c r="A7" s="2"/>
      <c r="B7" s="1"/>
      <c r="C7" s="6"/>
      <c r="H7" s="1"/>
      <c r="I7" s="1"/>
      <c r="J7" s="13"/>
      <c r="K7" s="13"/>
      <c r="L7" s="13"/>
    </row>
    <row r="8" ht="48" customHeight="1" spans="1:12">
      <c r="A8" s="2"/>
      <c r="B8" s="1" t="s">
        <v>66</v>
      </c>
      <c r="C8" s="8" t="s">
        <v>67</v>
      </c>
      <c r="D8" s="8"/>
      <c r="E8" s="8"/>
      <c r="F8" s="8"/>
      <c r="H8" s="5"/>
      <c r="I8" s="5"/>
      <c r="J8" s="5"/>
      <c r="K8" s="14"/>
      <c r="L8" s="11"/>
    </row>
    <row r="9" ht="22.5" spans="1:12">
      <c r="A9" s="2"/>
      <c r="B9" s="1"/>
      <c r="J9" s="15"/>
      <c r="K9" s="15"/>
      <c r="L9" s="15"/>
    </row>
    <row r="10" ht="22.5" spans="1:2">
      <c r="A10" s="2"/>
      <c r="B10" s="1"/>
    </row>
    <row r="11" s="1" customFormat="1" ht="22.5" spans="2:12">
      <c r="B11" s="1" t="s">
        <v>68</v>
      </c>
      <c r="C11" s="1" t="s">
        <v>69</v>
      </c>
      <c r="L11" s="16"/>
    </row>
    <row r="12" s="1" customFormat="1" ht="22.5" spans="12:12">
      <c r="L12" s="16"/>
    </row>
    <row r="13" s="1" customFormat="1" ht="22.5" spans="2:12">
      <c r="B13" s="1" t="s">
        <v>70</v>
      </c>
      <c r="L13" s="16"/>
    </row>
    <row r="15" ht="20.25" spans="2:12">
      <c r="B15" s="9" t="s">
        <v>71</v>
      </c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10">
    <mergeCell ref="B1:L1"/>
    <mergeCell ref="C4:F4"/>
    <mergeCell ref="H4:J4"/>
    <mergeCell ref="C6:F6"/>
    <mergeCell ref="H6:J6"/>
    <mergeCell ref="J7:L7"/>
    <mergeCell ref="C8:F8"/>
    <mergeCell ref="H8:J8"/>
    <mergeCell ref="J9:L9"/>
    <mergeCell ref="B15:L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李勇进</cp:lastModifiedBy>
  <cp:revision>0</cp:revision>
  <dcterms:created xsi:type="dcterms:W3CDTF">2024-07-11T07:34:00Z</dcterms:created>
  <dcterms:modified xsi:type="dcterms:W3CDTF">2025-09-12T03:07:06Z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2F61856832C8447889298A65971A6B5A_13</vt:lpwstr>
  </property>
</Properties>
</file>